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.S\Desktop\"/>
    </mc:Choice>
  </mc:AlternateContent>
  <bookViews>
    <workbookView xWindow="0" yWindow="0" windowWidth="1536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35" i="1"/>
  <c r="C25" i="1"/>
  <c r="C43" i="1" s="1"/>
  <c r="C24" i="1"/>
  <c r="C20" i="1"/>
  <c r="C33" i="1" s="1"/>
  <c r="C18" i="1"/>
  <c r="C17" i="1" s="1"/>
  <c r="F10" i="1"/>
  <c r="E10" i="1"/>
  <c r="C29" i="1" s="1"/>
  <c r="D10" i="1"/>
  <c r="C15" i="1" s="1"/>
  <c r="C27" i="1" l="1"/>
  <c r="C23" i="1"/>
  <c r="K16" i="1" s="1"/>
  <c r="C28" i="1"/>
  <c r="C34" i="1"/>
  <c r="C22" i="1" s="1"/>
  <c r="E15" i="1"/>
  <c r="C44" i="1"/>
  <c r="C45" i="1"/>
  <c r="C46" i="1" s="1"/>
  <c r="C26" i="1" l="1"/>
  <c r="C13" i="1" s="1"/>
  <c r="C14" i="1" s="1"/>
  <c r="C31" i="1" s="1"/>
  <c r="C37" i="1"/>
  <c r="C48" i="1"/>
  <c r="F5" i="1" s="1"/>
  <c r="C38" i="1" l="1"/>
  <c r="C19" i="1" s="1"/>
  <c r="C21" i="1" s="1"/>
  <c r="F2" i="1" s="1"/>
</calcChain>
</file>

<file path=xl/sharedStrings.xml><?xml version="1.0" encoding="utf-8"?>
<sst xmlns="http://schemas.openxmlformats.org/spreadsheetml/2006/main" count="69" uniqueCount="54">
  <si>
    <t>Pu</t>
  </si>
  <si>
    <t>Mu3</t>
  </si>
  <si>
    <t>نیروهای طراحی دیوار</t>
  </si>
  <si>
    <t>ضخامت کلی پی</t>
  </si>
  <si>
    <t>مقاومت فشاری بتن پی</t>
  </si>
  <si>
    <t>مشخصات پی</t>
  </si>
  <si>
    <t>تن</t>
  </si>
  <si>
    <t>تن متر</t>
  </si>
  <si>
    <t>سانتیمتر</t>
  </si>
  <si>
    <t>کیلوگرم بر سانتیمتر مربع</t>
  </si>
  <si>
    <t>مشخصات هندسی دیوار</t>
  </si>
  <si>
    <t>bo</t>
  </si>
  <si>
    <t>I33</t>
  </si>
  <si>
    <t>yv</t>
  </si>
  <si>
    <t>yf</t>
  </si>
  <si>
    <t>Vu</t>
  </si>
  <si>
    <t>Bc</t>
  </si>
  <si>
    <t>0.75*vc</t>
  </si>
  <si>
    <t>cm^4</t>
  </si>
  <si>
    <t>L</t>
  </si>
  <si>
    <t>Tw</t>
  </si>
  <si>
    <t>B</t>
  </si>
  <si>
    <t>S</t>
  </si>
  <si>
    <t>عرض نوار طراحی - W</t>
  </si>
  <si>
    <t>qu</t>
  </si>
  <si>
    <t>عرض ناحیه بحرانی</t>
  </si>
  <si>
    <t>d</t>
  </si>
  <si>
    <t>طول ناحیه بحرانی</t>
  </si>
  <si>
    <t>مساحت ناحیه برش صفر</t>
  </si>
  <si>
    <t>عرض ناحیه برش صفر</t>
  </si>
  <si>
    <t>طول ناحیه برش صفر</t>
  </si>
  <si>
    <t>Vumax</t>
  </si>
  <si>
    <t>ورودی ها</t>
  </si>
  <si>
    <t>بر اساس روش دکتر حسن باجی</t>
  </si>
  <si>
    <t>موقعیت</t>
  </si>
  <si>
    <t>کناری</t>
  </si>
  <si>
    <t>as</t>
  </si>
  <si>
    <t>گوشه</t>
  </si>
  <si>
    <t>ex</t>
  </si>
  <si>
    <t>اضافه لنگر</t>
  </si>
  <si>
    <t>Mu final</t>
  </si>
  <si>
    <t>a1</t>
  </si>
  <si>
    <t>b1</t>
  </si>
  <si>
    <t>محیط برش پانچ اروپا</t>
  </si>
  <si>
    <t>میانی</t>
  </si>
  <si>
    <t>مساحت کناری</t>
  </si>
  <si>
    <t>Vc</t>
  </si>
  <si>
    <t>نسبت برش پانچ برای کل دیوار</t>
  </si>
  <si>
    <t>نسبت برش پانچ برای ناحیه انتهایی</t>
  </si>
  <si>
    <t>صرفاً برای دیوارهای کناری</t>
  </si>
  <si>
    <t>برای دیوارهای کناری و گوشه</t>
  </si>
  <si>
    <t>Pier Force</t>
  </si>
  <si>
    <t>ویرایش ششم</t>
  </si>
  <si>
    <t>96.9.9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</si>
</sst>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i/>
      <sz val="11"/>
      <color theme="0" tint="-0.1499984740745262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b/>
      <i/>
      <sz val="11"/>
      <color theme="1"/>
      <name val="Times New Roman"/>
      <family val="1"/>
    </font>
    <font>
      <i/>
      <sz val="11"/>
      <color theme="0"/>
      <name val="Times New Roman"/>
      <family val="1"/>
    </font>
    <font>
      <i/>
      <sz val="13"/>
      <color theme="1"/>
      <name val="B Niki Shadow"/>
      <charset val="178"/>
    </font>
    <font>
      <i/>
      <sz val="11"/>
      <color theme="4" tint="-0.249977111117893"/>
      <name val="Times New Roman"/>
      <family val="1"/>
    </font>
    <font>
      <i/>
      <sz val="11"/>
      <name val="Times New Roman"/>
      <family val="1"/>
    </font>
    <font>
      <b/>
      <i/>
      <sz val="16"/>
      <color theme="9" tint="-0.249977111117893"/>
      <name val="Times New Roman"/>
      <family val="1"/>
    </font>
    <font>
      <i/>
      <sz val="11"/>
      <color theme="4"/>
      <name val="Times New Roman"/>
      <family val="1"/>
    </font>
    <font>
      <i/>
      <sz val="11"/>
      <color theme="4" tint="0.39997558519241921"/>
      <name val="Times New Roman"/>
      <family val="1"/>
    </font>
    <font>
      <sz val="11"/>
      <color theme="4"/>
      <name val="2  Lotus"/>
      <charset val="178"/>
    </font>
    <font>
      <i/>
      <u/>
      <sz val="13"/>
      <color theme="4"/>
      <name val="Times New Roman"/>
      <family val="1"/>
    </font>
    <font>
      <i/>
      <sz val="13"/>
      <color theme="4"/>
      <name val="Times New Roman"/>
      <family val="1"/>
    </font>
    <font>
      <sz val="11"/>
      <color theme="4"/>
      <name val="Calibri"/>
      <family val="2"/>
      <scheme val="minor"/>
    </font>
    <font>
      <i/>
      <sz val="11"/>
      <color rgb="FFFF0000"/>
      <name val="Times New Roman"/>
      <family val="1"/>
    </font>
    <font>
      <i/>
      <sz val="11"/>
      <color theme="0" tint="-0.3499862666707357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 applyProtection="1">
      <alignment horizontal="center" vertical="center"/>
    </xf>
    <xf numFmtId="1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" fontId="4" fillId="0" borderId="0" xfId="0" applyNumberFormat="1" applyFont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2" fontId="5" fillId="3" borderId="0" xfId="0" applyNumberFormat="1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2" fontId="10" fillId="0" borderId="0" xfId="0" applyNumberFormat="1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readingOrder="1"/>
    </xf>
    <xf numFmtId="0" fontId="15" fillId="0" borderId="0" xfId="0" applyFont="1" applyProtection="1"/>
    <xf numFmtId="0" fontId="5" fillId="4" borderId="0" xfId="0" applyFont="1" applyFill="1" applyAlignment="1" applyProtection="1">
      <alignment horizontal="center" vertical="center"/>
    </xf>
    <xf numFmtId="2" fontId="5" fillId="4" borderId="0" xfId="0" applyNumberFormat="1" applyFont="1" applyFill="1" applyAlignment="1" applyProtection="1">
      <alignment horizontal="center" vertical="center"/>
    </xf>
    <xf numFmtId="1" fontId="17" fillId="0" borderId="1" xfId="0" applyNumberFormat="1" applyFont="1" applyBorder="1" applyAlignment="1" applyProtection="1">
      <alignment horizontal="center" vertical="center"/>
    </xf>
    <xf numFmtId="2" fontId="11" fillId="0" borderId="0" xfId="0" applyNumberFormat="1" applyFont="1" applyAlignment="1" applyProtection="1">
      <alignment horizontal="center" vertical="center"/>
    </xf>
    <xf numFmtId="1" fontId="11" fillId="0" borderId="0" xfId="0" applyNumberFormat="1" applyFont="1" applyAlignment="1" applyProtection="1">
      <alignment horizontal="center" vertical="center"/>
    </xf>
    <xf numFmtId="0" fontId="13" fillId="0" borderId="0" xfId="1" applyFont="1" applyAlignment="1" applyProtection="1">
      <alignment horizontal="center" shrinkToFit="1" readingOrder="1"/>
    </xf>
    <xf numFmtId="0" fontId="14" fillId="0" borderId="0" xfId="0" applyFont="1" applyAlignment="1" applyProtection="1">
      <alignment horizontal="center" shrinkToFit="1" readingOrder="1"/>
    </xf>
    <xf numFmtId="2" fontId="16" fillId="5" borderId="0" xfId="0" applyNumberFormat="1" applyFont="1" applyFill="1" applyAlignment="1" applyProtection="1">
      <alignment horizontal="center" vertical="center" shrinkToFit="1" readingOrder="2"/>
    </xf>
    <xf numFmtId="0" fontId="0" fillId="0" borderId="0" xfId="0" applyFont="1" applyAlignment="1" applyProtection="1">
      <alignment horizontal="center" vertical="center" shrinkToFi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261683</xdr:colOff>
      <xdr:row>0</xdr:row>
      <xdr:rowOff>0</xdr:rowOff>
    </xdr:from>
    <xdr:to>
      <xdr:col>9</xdr:col>
      <xdr:colOff>122369</xdr:colOff>
      <xdr:row>12</xdr:row>
      <xdr:rowOff>157901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6270" y="0"/>
          <a:ext cx="1699425" cy="2783488"/>
        </a:xfrm>
        <a:prstGeom prst="rect">
          <a:avLst/>
        </a:prstGeom>
      </xdr:spPr>
    </xdr:pic>
    <xdr:clientData/>
  </xdr:twoCellAnchor>
  <xdr:twoCellAnchor editAs="oneCell">
    <xdr:from>
      <xdr:col>5</xdr:col>
      <xdr:colOff>554020</xdr:colOff>
      <xdr:row>1</xdr:row>
      <xdr:rowOff>171137</xdr:rowOff>
    </xdr:from>
    <xdr:to>
      <xdr:col>6</xdr:col>
      <xdr:colOff>532599</xdr:colOff>
      <xdr:row>3</xdr:row>
      <xdr:rowOff>151885</xdr:rowOff>
    </xdr:to>
    <xdr:pic>
      <xdr:nvPicPr>
        <xdr:cNvPr id="5" name="Picture 4" descr="http://us.cdn4.123rf.com/168nwm/rebirth3d/rebirth3d1103/rebirth3d110300047/9130190-woman-hand-with-index-finger-pointing-up-or-showing-number-on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261402">
          <a:off x="6052588" y="313026"/>
          <a:ext cx="477704" cy="591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95250</xdr:colOff>
      <xdr:row>7</xdr:row>
      <xdr:rowOff>78499</xdr:rowOff>
    </xdr:from>
    <xdr:to>
      <xdr:col>12</xdr:col>
      <xdr:colOff>158466</xdr:colOff>
      <xdr:row>11</xdr:row>
      <xdr:rowOff>149864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8057"/>
        <a:stretch/>
      </xdr:blipFill>
      <xdr:spPr>
        <a:xfrm>
          <a:off x="7981950" y="1678699"/>
          <a:ext cx="2349216" cy="909565"/>
        </a:xfrm>
        <a:prstGeom prst="rect">
          <a:avLst/>
        </a:prstGeom>
      </xdr:spPr>
    </xdr:pic>
    <xdr:clientData/>
  </xdr:twoCellAnchor>
  <xdr:twoCellAnchor editAs="oneCell">
    <xdr:from>
      <xdr:col>9</xdr:col>
      <xdr:colOff>243051</xdr:colOff>
      <xdr:row>3</xdr:row>
      <xdr:rowOff>6569</xdr:rowOff>
    </xdr:from>
    <xdr:to>
      <xdr:col>11</xdr:col>
      <xdr:colOff>286429</xdr:colOff>
      <xdr:row>4</xdr:row>
      <xdr:rowOff>70514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57241" y="702879"/>
          <a:ext cx="1718464" cy="274152"/>
        </a:xfrm>
        <a:prstGeom prst="rect">
          <a:avLst/>
        </a:prstGeom>
      </xdr:spPr>
    </xdr:pic>
    <xdr:clientData/>
  </xdr:twoCellAnchor>
  <xdr:twoCellAnchor editAs="oneCell">
    <xdr:from>
      <xdr:col>4</xdr:col>
      <xdr:colOff>707748</xdr:colOff>
      <xdr:row>49</xdr:row>
      <xdr:rowOff>162307</xdr:rowOff>
    </xdr:from>
    <xdr:to>
      <xdr:col>13</xdr:col>
      <xdr:colOff>464234</xdr:colOff>
      <xdr:row>76</xdr:row>
      <xdr:rowOff>63470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52210" y="9914442"/>
          <a:ext cx="6489928" cy="5044663"/>
        </a:xfrm>
        <a:prstGeom prst="rect">
          <a:avLst/>
        </a:prstGeom>
      </xdr:spPr>
    </xdr:pic>
    <xdr:clientData/>
  </xdr:twoCellAnchor>
  <xdr:twoCellAnchor editAs="oneCell">
    <xdr:from>
      <xdr:col>3</xdr:col>
      <xdr:colOff>1142998</xdr:colOff>
      <xdr:row>8</xdr:row>
      <xdr:rowOff>201265</xdr:rowOff>
    </xdr:from>
    <xdr:to>
      <xdr:col>6</xdr:col>
      <xdr:colOff>281609</xdr:colOff>
      <xdr:row>13</xdr:row>
      <xdr:rowOff>67229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10023" y="2011015"/>
          <a:ext cx="2329486" cy="904189"/>
        </a:xfrm>
        <a:prstGeom prst="rect">
          <a:avLst/>
        </a:prstGeom>
      </xdr:spPr>
    </xdr:pic>
    <xdr:clientData/>
  </xdr:twoCellAnchor>
  <xdr:twoCellAnchor editAs="oneCell">
    <xdr:from>
      <xdr:col>0</xdr:col>
      <xdr:colOff>315821</xdr:colOff>
      <xdr:row>50</xdr:row>
      <xdr:rowOff>130736</xdr:rowOff>
    </xdr:from>
    <xdr:to>
      <xdr:col>3</xdr:col>
      <xdr:colOff>1023919</xdr:colOff>
      <xdr:row>57</xdr:row>
      <xdr:rowOff>172317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15821" y="10073371"/>
          <a:ext cx="3580252" cy="1375081"/>
        </a:xfrm>
        <a:prstGeom prst="rect">
          <a:avLst/>
        </a:prstGeom>
      </xdr:spPr>
    </xdr:pic>
    <xdr:clientData/>
  </xdr:twoCellAnchor>
  <xdr:twoCellAnchor editAs="oneCell">
    <xdr:from>
      <xdr:col>4</xdr:col>
      <xdr:colOff>1327881</xdr:colOff>
      <xdr:row>5</xdr:row>
      <xdr:rowOff>155803</xdr:rowOff>
    </xdr:from>
    <xdr:to>
      <xdr:col>5</xdr:col>
      <xdr:colOff>482125</xdr:colOff>
      <xdr:row>8</xdr:row>
      <xdr:rowOff>164571</xdr:rowOff>
    </xdr:to>
    <xdr:pic>
      <xdr:nvPicPr>
        <xdr:cNvPr id="9" name="Picture 8" descr="http://us.cdn4.123rf.com/168nwm/rebirth3d/rebirth3d1103/rebirth3d110300047/9130190-woman-hand-with-index-finger-pointing-up-or-showing-number-on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202352">
          <a:off x="5372343" y="1276822"/>
          <a:ext cx="561013" cy="712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161193</xdr:colOff>
      <xdr:row>1</xdr:row>
      <xdr:rowOff>131885</xdr:rowOff>
    </xdr:from>
    <xdr:to>
      <xdr:col>11</xdr:col>
      <xdr:colOff>437174</xdr:colOff>
      <xdr:row>3</xdr:row>
      <xdr:rowOff>5083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044962" y="329712"/>
          <a:ext cx="1953847" cy="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tabSelected="1" zoomScale="130" zoomScaleNormal="130" workbookViewId="0">
      <selection activeCell="C7" sqref="C7"/>
    </sheetView>
  </sheetViews>
  <sheetFormatPr defaultRowHeight="15"/>
  <cols>
    <col min="1" max="1" width="16.5703125" style="1" bestFit="1" customWidth="1"/>
    <col min="2" max="2" width="17.85546875" style="1" bestFit="1" customWidth="1"/>
    <col min="3" max="3" width="8.5703125" style="2" bestFit="1" customWidth="1"/>
    <col min="4" max="4" width="17.5703125" style="1" bestFit="1" customWidth="1"/>
    <col min="5" max="5" width="21.140625" style="1" bestFit="1" customWidth="1"/>
    <col min="6" max="6" width="9.140625" style="3"/>
    <col min="7" max="10" width="9.140625" style="1"/>
    <col min="11" max="11" width="16" style="1" bestFit="1" customWidth="1"/>
    <col min="12" max="16384" width="9.140625" style="1"/>
  </cols>
  <sheetData>
    <row r="1" spans="1:12" ht="15.75" thickBot="1">
      <c r="C1" s="5" t="s">
        <v>32</v>
      </c>
    </row>
    <row r="2" spans="1:12" ht="22.5" thickTop="1" thickBot="1">
      <c r="B2" s="7" t="s">
        <v>0</v>
      </c>
      <c r="C2" s="12">
        <v>150</v>
      </c>
      <c r="D2" s="1" t="s">
        <v>6</v>
      </c>
      <c r="E2" s="6" t="s">
        <v>47</v>
      </c>
      <c r="F2" s="9">
        <f>C21/C22</f>
        <v>1.4951227893885546</v>
      </c>
      <c r="J2" s="10"/>
      <c r="K2" s="10"/>
      <c r="L2" s="10"/>
    </row>
    <row r="3" spans="1:12" ht="16.5" thickTop="1" thickBot="1">
      <c r="A3" s="1" t="s">
        <v>2</v>
      </c>
      <c r="B3" s="7" t="s">
        <v>1</v>
      </c>
      <c r="C3" s="12">
        <v>1100</v>
      </c>
      <c r="D3" s="1" t="s">
        <v>7</v>
      </c>
      <c r="E3" s="6" t="s">
        <v>50</v>
      </c>
    </row>
    <row r="4" spans="1:12" ht="16.5" thickTop="1" thickBot="1">
      <c r="B4" s="7" t="s">
        <v>51</v>
      </c>
      <c r="C4" s="12">
        <v>300</v>
      </c>
      <c r="D4" s="1" t="s">
        <v>6</v>
      </c>
    </row>
    <row r="5" spans="1:12" ht="16.5" thickTop="1" thickBot="1">
      <c r="B5" s="7" t="s">
        <v>3</v>
      </c>
      <c r="C5" s="23">
        <v>100</v>
      </c>
      <c r="D5" s="1" t="s">
        <v>8</v>
      </c>
      <c r="E5" s="21" t="s">
        <v>48</v>
      </c>
      <c r="F5" s="22">
        <f>1000*C4/(C48)</f>
        <v>0.91138035659608552</v>
      </c>
      <c r="K5" s="1" t="s">
        <v>33</v>
      </c>
    </row>
    <row r="6" spans="1:12" ht="16.5" thickTop="1" thickBot="1">
      <c r="A6" s="1" t="s">
        <v>5</v>
      </c>
      <c r="B6" s="11" t="s">
        <v>23</v>
      </c>
      <c r="C6" s="8">
        <v>340</v>
      </c>
      <c r="D6" s="4" t="s">
        <v>8</v>
      </c>
      <c r="E6" s="21" t="s">
        <v>49</v>
      </c>
      <c r="K6" s="1" t="s">
        <v>53</v>
      </c>
    </row>
    <row r="7" spans="1:12" ht="21.75" thickTop="1" thickBot="1">
      <c r="B7" s="7" t="s">
        <v>4</v>
      </c>
      <c r="C7" s="12">
        <v>300</v>
      </c>
      <c r="D7" s="1" t="s">
        <v>9</v>
      </c>
      <c r="K7" s="13" t="s">
        <v>52</v>
      </c>
    </row>
    <row r="8" spans="1:12" ht="16.5" thickTop="1" thickBot="1">
      <c r="B8" s="7" t="s">
        <v>19</v>
      </c>
      <c r="C8" s="23">
        <v>500</v>
      </c>
      <c r="D8" s="1" t="s">
        <v>8</v>
      </c>
    </row>
    <row r="9" spans="1:12" ht="16.5" thickTop="1" thickBot="1">
      <c r="B9" s="11" t="s">
        <v>20</v>
      </c>
      <c r="C9" s="8">
        <v>5</v>
      </c>
      <c r="D9" s="4" t="s">
        <v>8</v>
      </c>
    </row>
    <row r="10" spans="1:12" ht="16.5" thickTop="1" thickBot="1">
      <c r="A10" s="1" t="s">
        <v>10</v>
      </c>
      <c r="B10" s="7" t="s">
        <v>34</v>
      </c>
      <c r="C10" s="14" t="s">
        <v>37</v>
      </c>
      <c r="D10" s="16">
        <f>LOOKUP(C10,G27:G28,H27:H28)</f>
        <v>1</v>
      </c>
      <c r="E10" s="16">
        <f>LOOKUP(C10,G27:G28,F27:F28)</f>
        <v>20</v>
      </c>
      <c r="F10" s="16">
        <f>LOOKUP(C10,G27:G28,I27:I28)</f>
        <v>1</v>
      </c>
    </row>
    <row r="11" spans="1:12" ht="16.5" thickTop="1" thickBot="1">
      <c r="B11" s="7" t="s">
        <v>21</v>
      </c>
      <c r="C11" s="23">
        <v>40</v>
      </c>
      <c r="D11" s="1" t="s">
        <v>8</v>
      </c>
    </row>
    <row r="12" spans="1:12" ht="16.5" thickTop="1" thickBot="1">
      <c r="B12" s="7" t="s">
        <v>22</v>
      </c>
      <c r="C12" s="12">
        <v>5</v>
      </c>
      <c r="D12" s="1" t="s">
        <v>8</v>
      </c>
    </row>
    <row r="13" spans="1:12" ht="15.75" thickTop="1">
      <c r="A13" s="16"/>
      <c r="B13" s="16" t="s">
        <v>24</v>
      </c>
      <c r="C13" s="24">
        <f>C2*1000/(C26)</f>
        <v>0.95763426032329735</v>
      </c>
      <c r="D13" s="16" t="s">
        <v>9</v>
      </c>
      <c r="E13" s="15"/>
      <c r="F13" s="17"/>
      <c r="G13" s="15"/>
      <c r="H13" s="15"/>
      <c r="I13" s="15"/>
      <c r="J13" s="15"/>
      <c r="K13" s="15"/>
      <c r="L13" s="15"/>
    </row>
    <row r="14" spans="1:12">
      <c r="A14" s="16"/>
      <c r="B14" s="16" t="s">
        <v>15</v>
      </c>
      <c r="C14" s="24">
        <f>C2-(C13*C23*C24)*10^-3</f>
        <v>102.41898414157666</v>
      </c>
      <c r="D14" s="16"/>
      <c r="E14" s="15"/>
      <c r="F14" s="17"/>
      <c r="G14" s="15"/>
      <c r="H14" s="15"/>
      <c r="I14" s="15"/>
      <c r="J14" s="15"/>
      <c r="K14" s="15"/>
      <c r="L14" s="15"/>
    </row>
    <row r="15" spans="1:12">
      <c r="A15" s="16"/>
      <c r="B15" s="16" t="s">
        <v>11</v>
      </c>
      <c r="C15" s="25">
        <f>D10*C24+C8+C5-10</f>
        <v>681</v>
      </c>
      <c r="D15" s="16"/>
      <c r="E15" s="28" t="str">
        <f>IF(C8&lt;=C42+C25,"دیوار عملکرد ستونی داشته و پانچ تمام محدوده زیر دیوار را در بر می گیرد","دیوار عملکردستونی نداشته و پانچ در دو انتها اهمیت بیشتری دارد")</f>
        <v>دیوار عملکردستونی نداشته و پانچ در دو انتها اهمیت بیشتری دارد</v>
      </c>
      <c r="F15" s="29"/>
      <c r="G15" s="29"/>
      <c r="H15" s="15"/>
      <c r="I15" s="15"/>
      <c r="J15" s="15"/>
      <c r="K15" s="15"/>
      <c r="L15" s="15"/>
    </row>
    <row r="16" spans="1:12">
      <c r="A16" s="16"/>
      <c r="B16" s="16"/>
      <c r="C16" s="25"/>
      <c r="D16" s="16"/>
      <c r="E16" s="15"/>
      <c r="F16" s="17"/>
      <c r="G16" s="15"/>
      <c r="H16" s="15"/>
      <c r="I16" s="15"/>
      <c r="J16" s="15" t="s">
        <v>12</v>
      </c>
      <c r="K16" s="17">
        <f>((C23^3)*C25/12)+D10*((C24*(C25^3)/12)+(C24*C25*(C23/2)^2))</f>
        <v>1877775414.6666665</v>
      </c>
      <c r="L16" s="15" t="s">
        <v>18</v>
      </c>
    </row>
    <row r="17" spans="1:12">
      <c r="A17" s="16"/>
      <c r="B17" s="16" t="s">
        <v>13</v>
      </c>
      <c r="C17" s="24">
        <f>1-C18</f>
        <v>0.70222152703816532</v>
      </c>
      <c r="D17" s="16"/>
      <c r="E17" s="15"/>
      <c r="F17" s="17"/>
      <c r="G17" s="15"/>
      <c r="H17" s="15"/>
      <c r="I17" s="15"/>
      <c r="J17" s="15"/>
      <c r="K17" s="15"/>
      <c r="L17" s="15"/>
    </row>
    <row r="18" spans="1:12">
      <c r="A18" s="16"/>
      <c r="B18" s="16" t="s">
        <v>14</v>
      </c>
      <c r="C18" s="24">
        <f>1/(1+(0.667*(C8/C11)^0.5))</f>
        <v>0.29777847296183463</v>
      </c>
      <c r="D18" s="16"/>
      <c r="E18" s="15"/>
      <c r="F18" s="17"/>
      <c r="G18" s="15"/>
      <c r="H18" s="15"/>
      <c r="I18" s="15"/>
      <c r="J18" s="15"/>
      <c r="K18" s="15"/>
      <c r="L18" s="15"/>
    </row>
    <row r="19" spans="1:12">
      <c r="A19" s="16"/>
      <c r="B19" s="16" t="s">
        <v>40</v>
      </c>
      <c r="C19" s="25">
        <f>C3+C38</f>
        <v>1102.3556366352564</v>
      </c>
      <c r="D19" s="16"/>
      <c r="E19" s="15"/>
      <c r="F19" s="18"/>
      <c r="G19" s="15"/>
      <c r="H19" s="15"/>
      <c r="I19" s="15"/>
      <c r="J19" s="15"/>
      <c r="K19" s="19"/>
      <c r="L19" s="15"/>
    </row>
    <row r="20" spans="1:12">
      <c r="A20" s="16"/>
      <c r="B20" s="16" t="s">
        <v>16</v>
      </c>
      <c r="C20" s="24">
        <f>C8/C11</f>
        <v>12.5</v>
      </c>
      <c r="D20" s="16"/>
      <c r="E20" s="15"/>
      <c r="F20" s="18"/>
      <c r="G20" s="15"/>
      <c r="H20" s="15"/>
      <c r="I20" s="15"/>
      <c r="J20" s="15"/>
      <c r="K20" s="19"/>
      <c r="L20" s="15"/>
    </row>
    <row r="21" spans="1:12">
      <c r="A21" s="16"/>
      <c r="B21" s="16" t="s">
        <v>31</v>
      </c>
      <c r="C21" s="24">
        <f>(C14*1000/(C15*C25))+((C17*C19*10^5*0.5*C8)/K16)</f>
        <v>11.940777634947887</v>
      </c>
      <c r="D21" s="16" t="s">
        <v>9</v>
      </c>
      <c r="E21" s="15"/>
      <c r="F21" s="18"/>
      <c r="G21" s="15"/>
      <c r="H21" s="15"/>
      <c r="I21" s="15"/>
      <c r="J21" s="15"/>
      <c r="K21" s="19"/>
      <c r="L21" s="15"/>
    </row>
    <row r="22" spans="1:12" ht="16.5">
      <c r="A22" s="16"/>
      <c r="B22" s="16" t="s">
        <v>17</v>
      </c>
      <c r="C22" s="24">
        <f>MIN(C33:C35)</f>
        <v>7.9864862737000939</v>
      </c>
      <c r="D22" s="16" t="s">
        <v>9</v>
      </c>
      <c r="E22" s="15"/>
      <c r="F22" s="18"/>
      <c r="G22" s="19"/>
      <c r="H22" s="26"/>
      <c r="I22" s="27"/>
      <c r="J22" s="19"/>
      <c r="K22" s="19"/>
      <c r="L22" s="15"/>
    </row>
    <row r="23" spans="1:12">
      <c r="A23" s="16"/>
      <c r="B23" s="16" t="s">
        <v>27</v>
      </c>
      <c r="C23" s="25">
        <f>C8+C25*0.5*D10</f>
        <v>546</v>
      </c>
      <c r="D23" s="16"/>
      <c r="E23" s="15"/>
      <c r="F23" s="18"/>
      <c r="G23" s="18"/>
      <c r="H23" s="18"/>
      <c r="I23" s="18"/>
      <c r="J23" s="18"/>
      <c r="K23" s="18"/>
      <c r="L23" s="15"/>
    </row>
    <row r="24" spans="1:12">
      <c r="A24" s="16"/>
      <c r="B24" s="16" t="s">
        <v>25</v>
      </c>
      <c r="C24" s="25">
        <f>C12+C11+(0.5*(C5-8))</f>
        <v>91</v>
      </c>
      <c r="D24" s="16"/>
      <c r="E24" s="15"/>
      <c r="F24" s="20"/>
      <c r="G24" s="18"/>
      <c r="H24" s="18"/>
      <c r="I24" s="18"/>
      <c r="J24" s="18"/>
      <c r="K24" s="18"/>
      <c r="L24" s="15"/>
    </row>
    <row r="25" spans="1:12">
      <c r="A25" s="16"/>
      <c r="B25" s="16" t="s">
        <v>26</v>
      </c>
      <c r="C25" s="25">
        <f>C5-8</f>
        <v>92</v>
      </c>
      <c r="D25" s="16"/>
      <c r="E25" s="15"/>
      <c r="F25" s="17"/>
      <c r="G25" s="15"/>
      <c r="H25" s="15"/>
      <c r="I25" s="15"/>
      <c r="J25" s="15"/>
      <c r="K25" s="15"/>
      <c r="L25" s="15"/>
    </row>
    <row r="26" spans="1:12">
      <c r="A26" s="16"/>
      <c r="B26" s="16" t="s">
        <v>28</v>
      </c>
      <c r="C26" s="25">
        <f>C27*C28</f>
        <v>156636</v>
      </c>
      <c r="D26" s="16"/>
      <c r="E26" s="15"/>
      <c r="F26" s="17"/>
      <c r="G26" s="15"/>
      <c r="H26" s="15"/>
      <c r="I26" s="15"/>
      <c r="J26" s="15"/>
      <c r="K26" s="15"/>
      <c r="L26" s="15"/>
    </row>
    <row r="27" spans="1:12">
      <c r="A27" s="16"/>
      <c r="B27" s="16" t="s">
        <v>29</v>
      </c>
      <c r="C27" s="25">
        <f>C11+C12+2*C25</f>
        <v>229</v>
      </c>
      <c r="D27" s="24"/>
      <c r="E27" s="15"/>
      <c r="F27" s="17">
        <v>30</v>
      </c>
      <c r="G27" s="15" t="s">
        <v>35</v>
      </c>
      <c r="H27" s="15">
        <v>2</v>
      </c>
      <c r="I27" s="15">
        <v>0</v>
      </c>
      <c r="J27" s="15"/>
      <c r="K27" s="15"/>
      <c r="L27" s="15"/>
    </row>
    <row r="28" spans="1:12">
      <c r="A28" s="16"/>
      <c r="B28" s="16" t="s">
        <v>30</v>
      </c>
      <c r="C28" s="25">
        <f>C8+D10*C25*2</f>
        <v>684</v>
      </c>
      <c r="D28" s="16"/>
      <c r="E28" s="15"/>
      <c r="F28" s="17">
        <v>20</v>
      </c>
      <c r="G28" s="15" t="s">
        <v>37</v>
      </c>
      <c r="H28" s="15">
        <v>1</v>
      </c>
      <c r="I28" s="15">
        <v>1</v>
      </c>
      <c r="J28" s="15"/>
      <c r="K28" s="15"/>
      <c r="L28" s="15"/>
    </row>
    <row r="29" spans="1:12">
      <c r="A29" s="16"/>
      <c r="B29" s="16" t="s">
        <v>36</v>
      </c>
      <c r="C29" s="25">
        <f>E10</f>
        <v>20</v>
      </c>
      <c r="D29" s="16"/>
      <c r="E29" s="15"/>
      <c r="F29" s="17"/>
      <c r="G29" s="15"/>
      <c r="H29" s="15"/>
      <c r="I29" s="15"/>
      <c r="J29" s="15"/>
      <c r="K29" s="15"/>
      <c r="L29" s="15"/>
    </row>
    <row r="30" spans="1:12">
      <c r="A30" s="16"/>
      <c r="B30" s="16"/>
      <c r="C30" s="25"/>
      <c r="D30" s="16"/>
      <c r="E30" s="15"/>
      <c r="F30" s="17"/>
      <c r="G30" s="15"/>
      <c r="H30" s="15"/>
      <c r="I30" s="15"/>
      <c r="J30" s="15"/>
      <c r="K30" s="15"/>
      <c r="L30" s="15"/>
    </row>
    <row r="31" spans="1:12">
      <c r="A31" s="16"/>
      <c r="B31" s="16"/>
      <c r="C31" s="24">
        <f>(C14*1000/(C15*C25))</f>
        <v>1.6347280875562895</v>
      </c>
      <c r="D31" s="16"/>
      <c r="E31" s="15"/>
      <c r="F31" s="17"/>
      <c r="G31" s="15"/>
      <c r="H31" s="15"/>
      <c r="I31" s="15"/>
      <c r="J31" s="15"/>
      <c r="K31" s="15"/>
      <c r="L31" s="15"/>
    </row>
    <row r="32" spans="1:12">
      <c r="A32" s="16"/>
      <c r="B32" s="16"/>
      <c r="C32" s="25"/>
      <c r="D32" s="16"/>
      <c r="E32" s="15"/>
      <c r="F32" s="17"/>
      <c r="G32" s="15"/>
      <c r="H32" s="15"/>
      <c r="I32" s="15"/>
      <c r="J32" s="15"/>
      <c r="K32" s="15"/>
      <c r="L32" s="15"/>
    </row>
    <row r="33" spans="1:12">
      <c r="A33" s="16"/>
      <c r="B33" s="16"/>
      <c r="C33" s="24">
        <f>0.75*0.265*(2+(4/C20))*C7^0.5</f>
        <v>7.9864862737000939</v>
      </c>
      <c r="D33" s="16"/>
      <c r="E33" s="15"/>
      <c r="F33" s="17"/>
      <c r="G33" s="15"/>
      <c r="H33" s="15"/>
      <c r="I33" s="15"/>
      <c r="J33" s="15"/>
      <c r="K33" s="15"/>
      <c r="L33" s="15"/>
    </row>
    <row r="34" spans="1:12">
      <c r="A34" s="16"/>
      <c r="B34" s="16"/>
      <c r="C34" s="24">
        <f>0.75*0.265*(2+(C29*C25/C15))*C7^0.5</f>
        <v>16.186091098528848</v>
      </c>
      <c r="D34" s="16"/>
      <c r="E34" s="15"/>
      <c r="F34" s="17"/>
      <c r="G34" s="15"/>
      <c r="H34" s="15"/>
      <c r="I34" s="15"/>
      <c r="J34" s="15"/>
      <c r="K34" s="15"/>
      <c r="L34" s="15"/>
    </row>
    <row r="35" spans="1:12">
      <c r="A35" s="16"/>
      <c r="B35" s="16"/>
      <c r="C35" s="24">
        <f>0.75*4*0.265*C7^0.5</f>
        <v>13.769803920172576</v>
      </c>
      <c r="D35" s="16"/>
      <c r="E35" s="15"/>
      <c r="F35" s="17"/>
      <c r="G35" s="15"/>
      <c r="H35" s="15"/>
      <c r="I35" s="15"/>
      <c r="J35" s="15"/>
      <c r="K35" s="15"/>
      <c r="L35" s="15"/>
    </row>
    <row r="36" spans="1:12">
      <c r="A36" s="16"/>
      <c r="B36" s="16"/>
      <c r="C36" s="25"/>
      <c r="D36" s="16"/>
      <c r="E36" s="15"/>
      <c r="F36" s="17"/>
      <c r="G36" s="15"/>
      <c r="H36" s="15"/>
      <c r="I36" s="15"/>
      <c r="J36" s="15"/>
      <c r="K36" s="15"/>
      <c r="L36" s="15"/>
    </row>
    <row r="37" spans="1:12">
      <c r="A37" s="16"/>
      <c r="B37" s="16" t="s">
        <v>38</v>
      </c>
      <c r="C37" s="25">
        <f>0.5*(C23-C8)</f>
        <v>23</v>
      </c>
      <c r="D37" s="16" t="s">
        <v>8</v>
      </c>
    </row>
    <row r="38" spans="1:12">
      <c r="A38" s="16"/>
      <c r="B38" s="16" t="s">
        <v>39</v>
      </c>
      <c r="C38" s="25">
        <f>C14*C37*10^-3</f>
        <v>2.3556366352562632</v>
      </c>
      <c r="D38" s="16" t="s">
        <v>7</v>
      </c>
    </row>
    <row r="39" spans="1:12">
      <c r="A39" s="16"/>
      <c r="B39" s="16"/>
      <c r="C39" s="25"/>
      <c r="D39" s="16"/>
    </row>
    <row r="40" spans="1:12">
      <c r="A40" s="16"/>
      <c r="B40" s="16"/>
      <c r="C40" s="25"/>
      <c r="D40" s="16"/>
    </row>
    <row r="41" spans="1:12">
      <c r="A41" s="16"/>
      <c r="B41" s="16"/>
      <c r="C41" s="25"/>
      <c r="D41" s="16"/>
    </row>
    <row r="42" spans="1:12">
      <c r="A42" s="16"/>
      <c r="B42" s="16" t="s">
        <v>41</v>
      </c>
      <c r="C42" s="25">
        <f>MIN(2*C11,C8)</f>
        <v>80</v>
      </c>
      <c r="D42" s="16" t="s">
        <v>8</v>
      </c>
    </row>
    <row r="43" spans="1:12">
      <c r="A43" s="16"/>
      <c r="B43" s="16" t="s">
        <v>42</v>
      </c>
      <c r="C43" s="25">
        <f>MIN(C11,2.8*C25)</f>
        <v>40</v>
      </c>
      <c r="D43" s="16" t="s">
        <v>8</v>
      </c>
    </row>
    <row r="44" spans="1:12">
      <c r="A44" s="16"/>
      <c r="B44" s="16" t="s">
        <v>43</v>
      </c>
      <c r="C44" s="25">
        <f>C42+C43+6*C25</f>
        <v>672</v>
      </c>
      <c r="D44" s="16" t="s">
        <v>44</v>
      </c>
    </row>
    <row r="45" spans="1:12">
      <c r="A45" s="16"/>
      <c r="B45" s="16"/>
      <c r="C45" s="25">
        <f>0.5*C42+C43+4*C25</f>
        <v>448</v>
      </c>
      <c r="D45" s="16" t="s">
        <v>35</v>
      </c>
    </row>
    <row r="46" spans="1:12">
      <c r="A46" s="16"/>
      <c r="B46" s="16" t="s">
        <v>45</v>
      </c>
      <c r="C46" s="25">
        <f>C45*C25</f>
        <v>41216</v>
      </c>
      <c r="D46" s="16"/>
    </row>
    <row r="47" spans="1:12">
      <c r="A47" s="16"/>
      <c r="B47" s="16"/>
      <c r="C47" s="25"/>
      <c r="D47" s="16"/>
    </row>
    <row r="48" spans="1:12">
      <c r="A48" s="16"/>
      <c r="B48" s="16" t="s">
        <v>46</v>
      </c>
      <c r="C48" s="25">
        <f>C46*C22</f>
        <v>329171.01825682307</v>
      </c>
      <c r="D48" s="16"/>
    </row>
  </sheetData>
  <sheetProtection password="E5B5" sheet="1" objects="1" scenarios="1" selectLockedCells="1"/>
  <mergeCells count="2">
    <mergeCell ref="H22:I22"/>
    <mergeCell ref="E15:G15"/>
  </mergeCells>
  <dataValidations count="1">
    <dataValidation type="list" allowBlank="1" showInputMessage="1" showErrorMessage="1" sqref="C10">
      <formula1>$G$27:$G$28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N.S</dc:creator>
  <cp:lastModifiedBy>N.S</cp:lastModifiedBy>
  <dcterms:created xsi:type="dcterms:W3CDTF">2017-11-24T04:44:21Z</dcterms:created>
  <dcterms:modified xsi:type="dcterms:W3CDTF">2017-12-01T21:40:43Z</dcterms:modified>
</cp:coreProperties>
</file>